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fileSharing readOnlyRecommended="1"/>
  <workbookPr defaultThemeVersion="166925"/>
  <mc:AlternateContent xmlns:mc="http://schemas.openxmlformats.org/markup-compatibility/2006">
    <mc:Choice Requires="x15">
      <x15ac:absPath xmlns:x15ac="http://schemas.microsoft.com/office/spreadsheetml/2010/11/ac" url="https://fonturcolombia.sharepoint.com/sites/intranetfontur/fontur/Documentos compartidos/CONTROL INTERNO/2. AUDITORIAS CI/2021/12. Pagina WEB/Información Auditoría/Reportes Ekogui/2020/"/>
    </mc:Choice>
  </mc:AlternateContent>
  <xr:revisionPtr revIDLastSave="1" documentId="11_29A7C92EFBC89068CEFEEE0E36470E8DAFE81251" xr6:coauthVersionLast="47" xr6:coauthVersionMax="47" xr10:uidLastSave="{6DAA8440-C4E7-4456-93E9-3F2AED5D9C4D}"/>
  <bookViews>
    <workbookView xWindow="-120" yWindow="-120" windowWidth="20730" windowHeight="11040" xr2:uid="{00000000-000D-0000-FFFF-FFFF00000000}"/>
  </bookViews>
  <sheets>
    <sheet name="Principal" sheetId="4" r:id="rId1"/>
    <sheet name="USUARIOS" sheetId="1" r:id="rId2"/>
    <sheet name="Base a pegar" sheetId="12" state="hidden" r:id="rId3"/>
    <sheet name="ABOGADOS" sheetId="7" r:id="rId4"/>
    <sheet name="JUDICIALES" sheetId="8" r:id="rId5"/>
    <sheet name="PREJUDICIALES" sheetId="9" r:id="rId6"/>
    <sheet name="ARBITRAMENTOS" sheetId="10" r:id="rId7"/>
    <sheet name="PAGOS" sheetId="11" r:id="rId8"/>
    <sheet name="Resumen general" sheetId="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5" l="1"/>
  <c r="V3" i="7"/>
  <c r="G14" i="1" l="1"/>
  <c r="G13" i="1"/>
  <c r="G15" i="1"/>
  <c r="G16" i="1"/>
  <c r="G17" i="1"/>
  <c r="G12" i="1"/>
  <c r="BE3" i="12" l="1"/>
  <c r="BD3" i="12"/>
  <c r="BC3" i="12"/>
  <c r="BB3" i="12"/>
  <c r="BA3" i="12"/>
  <c r="AZ3" i="12"/>
  <c r="O3" i="12" l="1"/>
  <c r="N3" i="12"/>
  <c r="M3" i="12"/>
  <c r="L3" i="12"/>
  <c r="K3" i="12"/>
  <c r="J3" i="12"/>
  <c r="I3" i="12"/>
  <c r="H3" i="12"/>
  <c r="G3" i="12"/>
  <c r="F17" i="5" l="1"/>
  <c r="F15" i="5"/>
  <c r="F10" i="5"/>
  <c r="C19" i="5"/>
  <c r="C17" i="5"/>
  <c r="C16" i="5"/>
  <c r="T16" i="10"/>
  <c r="T12" i="10"/>
  <c r="W3" i="8"/>
  <c r="C25" i="8" s="1"/>
  <c r="T17" i="10" l="1"/>
  <c r="F13" i="5" s="1"/>
  <c r="V2" i="9"/>
  <c r="V3" i="9" s="1"/>
  <c r="F9" i="9" s="1"/>
  <c r="F11" i="5" l="1"/>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F3" i="12"/>
  <c r="E3" i="12"/>
  <c r="D3" i="12"/>
  <c r="C3" i="12"/>
  <c r="B3" i="12"/>
  <c r="A3" i="12"/>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4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<sst xmlns="http://schemas.openxmlformats.org/spreadsheetml/2006/main" count="241" uniqueCount="165">
  <si>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</si>
  <si>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</si>
  <si>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</si>
  <si>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</si>
  <si>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</si>
  <si>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</si>
  <si>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</si>
  <si>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</si>
  <si>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</si>
  <si>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</si>
  <si>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</si>
  <si>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</si>
  <si>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</si>
  <si>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</si>
  <si>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</si>
  <si>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</si>
  <si>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</si>
  <si>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</si>
  <si>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</si>
  <si>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</si>
  <si>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</si>
  <si>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</si>
  <si>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</si>
  <si>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</si>
  <si>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</si>
  <si>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</si>
  <si>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</si>
  <si>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</si>
  <si>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</si>
  <si>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</si>
  <si>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</si>
  <si>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</si>
  <si>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</si>
  <si>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</si>
  <si>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</si>
  <si>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</si>
  <si>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</si>
  <si>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</si>
  <si>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</si>
  <si>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</si>
  <si>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</si>
  <si>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</si>
  <si>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</si>
  <si>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</si>
  <si>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</si>
  <si>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</si>
  <si>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</si>
  <si>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</si>
  <si>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</si>
  <si>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</si>
  <si>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</si>
  <si>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</si>
  <si>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</si>
  <si>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</si>
  <si>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</si>
  <si>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</si>
  <si>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Prejudiciales</t>
  </si>
  <si>
    <t>TOTAL PREJUDICIALES ACTIVOS EN EKOGUI</t>
  </si>
  <si>
    <t>TOTAL PROCESOS TERMINADOS</t>
  </si>
  <si>
    <t>CANTIDAD PREJUDICIALES</t>
  </si>
  <si>
    <t>Procesos que efectivamente se encuentran activos</t>
  </si>
  <si>
    <t>Proceso que se encuentran terminados</t>
  </si>
  <si>
    <t>TERMINADOS EN EKOGUI</t>
  </si>
  <si>
    <t>PROCESOS TERMINADOS EN 2020</t>
  </si>
  <si>
    <t>PROCESOS ACTIVOS CON ESTADO TERMINADO*</t>
  </si>
  <si>
    <t xml:space="preserve">Procesos de más de 33.000 SMMLV con la pieza demanda </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</si>
  <si>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</si>
  <si>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</si>
  <si>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</si>
  <si>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</si>
  <si>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</si>
  <si>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</si>
  <si>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</si>
  <si>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</si>
  <si>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</si>
  <si>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</si>
  <si>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</si>
  <si>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</si>
  <si>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</si>
  <si>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</si>
  <si>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</si>
  <si>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Pagos enlazados</t>
  </si>
  <si>
    <t>Provisión incorrecta</t>
  </si>
  <si>
    <t>JUDICIALES</t>
  </si>
  <si>
    <t>PREJUDICIALES</t>
  </si>
  <si>
    <t>Plantilla de certificado de Control Interno eKOGUI</t>
  </si>
  <si>
    <t>REGISTRO EN 2019 Y ANTERIORES</t>
  </si>
  <si>
    <t>ACTUALIZADO</t>
  </si>
  <si>
    <t>Entre 21-03-2019 y 31-12-2019</t>
  </si>
  <si>
    <t>PROCESOS SIN ABOGADO ASIGNADO(1)</t>
  </si>
  <si>
    <t>(2) Con fecha de actuación en 2020</t>
  </si>
  <si>
    <t>PROCESOS ACTIVOS CON ESTADO TERMINADO(3)</t>
  </si>
  <si>
    <t>(4)Equivalente a un valor indexado de $28.967 millones</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</si>
  <si>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</si>
  <si>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</si>
  <si>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</si>
  <si>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</si>
  <si>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</si>
  <si>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</si>
  <si>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</si>
  <si>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</si>
  <si>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</si>
  <si>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</si>
  <si>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</si>
  <si>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</si>
  <si>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</si>
  <si>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</si>
  <si>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</si>
  <si>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</si>
  <si>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</si>
  <si>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</si>
  <si>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</si>
  <si>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</si>
  <si>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</si>
  <si>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</si>
  <si>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</si>
  <si>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</si>
  <si>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</si>
  <si>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</si>
  <si>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Abogados al 31 de diciembre de 2020</t>
  </si>
  <si>
    <t>ABOGADOS ACTIVOS AL 31-12-2020</t>
  </si>
  <si>
    <t>USUARIOS ACTIVOS</t>
  </si>
  <si>
    <t>RETIRADOS EN LA ENTIDAD SEGUNDO SEMESTRE 2020</t>
  </si>
  <si>
    <t>INACTIVADOS EN EKOGUI SEGUNDO SEMESTRE 2020</t>
  </si>
  <si>
    <t>Indique la fecha en la que genera el reporte</t>
  </si>
  <si>
    <t>Posteriores al 01-01-2020</t>
  </si>
  <si>
    <t>PROCESOS ACTIVOS AL 31 DE DICIEMBRE DE 2020</t>
  </si>
  <si>
    <t>Fecha de diligenciamiento de plantilla</t>
  </si>
  <si>
    <t>PROCESOS TERMINADOS SEGUNDO SEMESTRE 2020</t>
  </si>
  <si>
    <t xml:space="preserve">PROCESO TERMINADOS AL 31 DE DICIEMBRE 2020 </t>
  </si>
  <si>
    <r>
      <t>(3)En el reporte de activos al 31 de diciembre verifique la columna</t>
    </r>
    <r>
      <rPr>
        <b/>
        <i/>
        <sz val="9"/>
        <color theme="1"/>
        <rFont val="Calibri"/>
        <family val="2"/>
        <scheme val="minor"/>
      </rPr>
      <t xml:space="preserve"> Estado General del proceso</t>
    </r>
  </si>
  <si>
    <t>(6) Solo se consideran los procesos activos - calidad demandado al 31 de diciembre de 2020 que tengan calificación de riesgo</t>
  </si>
  <si>
    <t>PROCESOS ACTIVOS EN CALIDAD DEMANDADO AL 31-12-2020</t>
  </si>
  <si>
    <t>PROCESOS CON CALIFICACIÓNSEGUNDO SEMESTRE 2020</t>
  </si>
  <si>
    <t>PROCESOS CON CALIFICACIÓN ANTERIOR A 30-06-2020</t>
  </si>
  <si>
    <t>PREJUDICIALES ACTIVOS AL 31-12-2020</t>
  </si>
  <si>
    <t>REGISTRO DESDE JULIO 1 DE 2020</t>
  </si>
  <si>
    <t>REGISTRO ENTRE 1 DE ENERO Y 30 DE JUNIO 2020</t>
  </si>
  <si>
    <t>TOTAL PREJUDICIALES TERMINADOS II SEM. 2020</t>
  </si>
  <si>
    <t>TERMINADOS ÚLTIMA ACTUACIÓN II SEM. 2020</t>
  </si>
  <si>
    <t>PREJUDICIALES TERMINADOS SEGUNDO SEMESTRE 2020</t>
  </si>
  <si>
    <t>ARBITRAMENTOS ACTIVOS AL 31-12-2020</t>
  </si>
  <si>
    <t>TOTAL ARBITRAMENTOS TERMINADOS  AL 31-12-2020</t>
  </si>
  <si>
    <t>Pagos enlazados al 31-12-2020</t>
  </si>
  <si>
    <t>Obs1</t>
  </si>
  <si>
    <t>Obs2</t>
  </si>
  <si>
    <t>Obs3</t>
  </si>
  <si>
    <t>Obs4</t>
  </si>
  <si>
    <t>Obs5</t>
  </si>
  <si>
    <t>Obs6</t>
  </si>
  <si>
    <t>Escriba la fecha de generación del reporte</t>
  </si>
  <si>
    <t>PROCESOS TERMINADOS DURANTE SEGUNDO SEMESTRE 2020</t>
  </si>
  <si>
    <t>TERMINADOS EN EKOGUI DURANTE SEGUNDO SEMESTRE 2020 (2)</t>
  </si>
  <si>
    <t>Nota 1</t>
  </si>
  <si>
    <t>LUIS FERNANDO TORRES RAMIREZ</t>
  </si>
  <si>
    <t>DANIEL ALFREDO MUÑOZ LOPEZ</t>
  </si>
  <si>
    <t>LILIANA MARIA DEL CARMEN CARDENAS VASQUEZ</t>
  </si>
  <si>
    <t>Nota 1: De acuerdo a lo informado por el Jefe Jurídico y Administrador del Sistema, "Respecto del perfil "Enlace de Pagos y Jefe Financiero", teniendo en cuenta lo indicado en la Circular Externa No.02 del 15 de junio de 2019 emitida por la ANDJE, solo debe habilitarse para las entidades que gestionan pagos a travez del rubro de sentencias y conciliaciones en el SIIF, en el caso del P.A. FONTUR no aplica ya que el Art. 2.9.1.1.3. del Decreto 1068 de 2015 no incluye al P.A. FONTUR dentro de las entidades que deben usar SIIF.</t>
  </si>
  <si>
    <t>NUBIA YANETH CORDOBA ZAMBRANO</t>
  </si>
  <si>
    <t>PATRIMONIO AUTONOMO FONDO NACIONAL DEL TURISMO - P.A. FONTUR</t>
  </si>
  <si>
    <t>Nota 1: La totalidad de los abogados que se encontraban litigando al 31/12/2020, se encontraban registrados en eKOGUI con su correo electronico actualizado.
Nota 2: Los ABOGADOS activos en eKOGUI que no se encuentran litigando cumplen funciones de apoyo, por ende, la diferencia NO corresponde a abogados desactualizados o que deban ser inactivados en el sistema.</t>
  </si>
  <si>
    <t>Nota 1: La fuente de información oficial de las conciliaciones Prejudiciales es eKOGUI
Nota 2: El proceso No. 1457134 presenta actuaciones desde el 1 de septiembre de 2020 actualizadas hasta el 14 de enero de 2021, este proceso se terminó el 30 de noviembre de 2020 cuya ultima actuación fue "CONCILIACION EXTRAJUDICIAL FALLIDA"</t>
  </si>
  <si>
    <t>Nota 1: La fuente de información oficial de las conciliaciones Prejudiciales es eKOGUI</t>
  </si>
  <si>
    <t>De acuerdo a lo informado por el Jefe Jurídico, el PA FONTUR, no se encuentra relacionado en el artículo 2.9.1.1.3 del Decreto 1068 de 2015, que establece que entidades están a usar el SIIF Nación.</t>
  </si>
  <si>
    <t>Nota 1. La fuente de información oficial de los procesos judiciales del P.A. FONTUR es el sistema eKOGUI
Nota 2: El proceso cuya calificación de riesgo fue efectuada antes del 30 de junio de 2020, corresponde al proceso 1129552 cuyo demandante es el CONSORCIO AAC ARISTA SAS y abogado de la entidad asignado es el Dr. JUAN PABLO ALVAREZ CANDAMIL, el cual fue actualizado el 26 de marzo de 2021.
Nota 3: El proceso con probabilidad ALTA que presenta una provisión contable igual a cero corresponde al proceso 1102298 cuyo demandante es CONCESIONARIA VIAL DE COLOMBIA SAS y abogado de la entidad asignado es el Dr. RAMIRO RODRIGUEZ LOPEZ con un valor indexado de pretenciones de $46.958.312,25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</si>
</sst>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2">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9" fontId="0" fillId="0" borderId="9" xfId="1" applyFont="1" applyBorder="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11" xfId="0" applyFill="1" applyBorder="1" applyProtection="1">
      <protection hidden="1"/>
    </xf>
    <xf numFmtId="0" fontId="0" fillId="2" borderId="9" xfId="0" applyFill="1" applyBorder="1" applyProtection="1">
      <protection locked="0"/>
    </xf>
    <xf numFmtId="0" fontId="0" fillId="2" borderId="12" xfId="0" applyFill="1" applyBorder="1" applyProtection="1">
      <protection locked="0"/>
    </xf>
    <xf numFmtId="14" fontId="0" fillId="2" borderId="12" xfId="0" applyNumberFormat="1" applyFill="1" applyBorder="1" applyProtection="1">
      <protection locked="0"/>
    </xf>
    <xf numFmtId="14" fontId="0" fillId="2" borderId="9" xfId="0" applyNumberFormat="1" applyFill="1" applyBorder="1" applyProtection="1">
      <protection locked="0"/>
    </xf>
    <xf numFmtId="0" fontId="0" fillId="2" borderId="0" xfId="0" applyFill="1" applyBorder="1" applyProtection="1">
      <protection locked="0"/>
    </xf>
    <xf numFmtId="0" fontId="0" fillId="2" borderId="9" xfId="0" applyFill="1" applyBorder="1" applyAlignment="1" applyProtection="1">
      <protection locked="0"/>
    </xf>
    <xf numFmtId="0" fontId="0" fillId="0" borderId="9" xfId="0"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9" xfId="0" applyFill="1" applyBorder="1" applyAlignment="1" applyProtection="1">
      <alignment vertical="center"/>
      <protection locked="0"/>
    </xf>
    <xf numFmtId="0" fontId="0" fillId="2" borderId="0" xfId="0" applyFill="1" applyBorder="1" applyAlignment="1">
      <alignment wrapText="1"/>
    </xf>
    <xf numFmtId="0" fontId="0" fillId="0" borderId="9" xfId="0" applyBorder="1" applyAlignment="1">
      <alignment horizontal="center"/>
    </xf>
    <xf numFmtId="0" fontId="0" fillId="2" borderId="22" xfId="0" applyFill="1" applyBorder="1" applyAlignment="1">
      <alignment horizontal="center" vertical="center"/>
    </xf>
    <xf numFmtId="0" fontId="0" fillId="2" borderId="28" xfId="0" applyFill="1" applyBorder="1"/>
    <xf numFmtId="0" fontId="0" fillId="2" borderId="28" xfId="0" applyFill="1" applyBorder="1" applyProtection="1">
      <protection locked="0"/>
    </xf>
    <xf numFmtId="0" fontId="0" fillId="2" borderId="0" xfId="0" applyFill="1" applyBorder="1" applyAlignment="1" applyProtection="1">
      <protection locked="0"/>
    </xf>
    <xf numFmtId="0" fontId="0" fillId="2" borderId="13" xfId="0" applyFill="1" applyBorder="1" applyAlignment="1">
      <alignment wrapText="1"/>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0" fillId="2" borderId="27" xfId="0" applyNumberFormat="1" applyFill="1" applyBorder="1" applyProtection="1">
      <protection locked="0"/>
    </xf>
    <xf numFmtId="14" fontId="5" fillId="2" borderId="5" xfId="0" applyNumberFormat="1" applyFont="1" applyFill="1" applyBorder="1"/>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lignment horizontal="center"/>
    </xf>
    <xf numFmtId="0" fontId="0" fillId="2" borderId="26"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0" fillId="0" borderId="20" xfId="0" applyBorder="1" applyAlignment="1" applyProtection="1">
      <alignment horizontal="center"/>
      <protection locked="0"/>
    </xf>
    <xf numFmtId="0" fontId="6" fillId="0" borderId="0" xfId="0" applyFont="1" applyBorder="1" applyAlignment="1">
      <alignment horizontal="center"/>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8"/>
  <sheetViews>
    <sheetView showGridLines="0" tabSelected="1"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83" t="s">
        <v>85</v>
      </c>
      <c r="C3" s="84"/>
      <c r="D3" s="84"/>
      <c r="E3" s="84"/>
      <c r="F3" s="84"/>
      <c r="G3" s="84"/>
      <c r="H3" s="84"/>
      <c r="I3" s="84"/>
      <c r="J3" s="84"/>
      <c r="K3" s="84"/>
      <c r="L3" s="84"/>
      <c r="M3" s="84"/>
      <c r="N3" s="84"/>
      <c r="O3" s="85"/>
    </row>
    <row r="4" spans="2:15" ht="23.25" x14ac:dyDescent="0.35">
      <c r="B4" s="83" t="s">
        <v>11</v>
      </c>
      <c r="C4" s="84"/>
      <c r="D4" s="84"/>
      <c r="E4" s="84"/>
      <c r="F4" s="84"/>
      <c r="G4" s="84"/>
      <c r="H4" s="84"/>
      <c r="I4" s="84"/>
      <c r="J4" s="84"/>
      <c r="K4" s="84"/>
      <c r="L4" s="84"/>
      <c r="M4" s="84"/>
      <c r="N4" s="84"/>
      <c r="O4" s="85"/>
    </row>
    <row r="5" spans="2:15" x14ac:dyDescent="0.25">
      <c r="B5" s="5"/>
      <c r="C5" s="6"/>
      <c r="D5" s="6"/>
      <c r="E5" s="6"/>
      <c r="F5" s="6"/>
      <c r="G5" s="6"/>
      <c r="H5" s="6"/>
      <c r="I5" s="6"/>
      <c r="J5" s="6"/>
      <c r="K5" s="6"/>
      <c r="L5" s="6"/>
      <c r="M5" s="6"/>
      <c r="N5" s="6"/>
      <c r="O5" s="7"/>
    </row>
    <row r="6" spans="2:15" x14ac:dyDescent="0.25">
      <c r="B6" s="5"/>
      <c r="C6" s="86" t="s">
        <v>101</v>
      </c>
      <c r="D6" s="86"/>
      <c r="E6" s="86"/>
      <c r="F6" s="86"/>
      <c r="G6" s="86"/>
      <c r="H6" s="86"/>
      <c r="I6" s="86"/>
      <c r="J6" s="86"/>
      <c r="K6" s="86"/>
      <c r="L6" s="86"/>
      <c r="M6" s="86"/>
      <c r="N6" s="86"/>
      <c r="O6" s="7"/>
    </row>
    <row r="7" spans="2:15" x14ac:dyDescent="0.25">
      <c r="B7" s="5"/>
      <c r="C7" s="86"/>
      <c r="D7" s="86"/>
      <c r="E7" s="86"/>
      <c r="F7" s="86"/>
      <c r="G7" s="86"/>
      <c r="H7" s="86"/>
      <c r="I7" s="86"/>
      <c r="J7" s="86"/>
      <c r="K7" s="86"/>
      <c r="L7" s="86"/>
      <c r="M7" s="86"/>
      <c r="N7" s="86"/>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v+OGTlq+q6Oae72VDN+sgjj2bIwwaNs7K3QlBBMEg8LflToLDQY2HVkS7v5GxJ3ePdMJEq1YOdX8GVr8ULdAAw==" saltValue="VUPC38ch+z74Wo07QKnkBQ=="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5:T19"/>
  <sheetViews>
    <sheetView workbookViewId="0"/>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87" t="s">
        <v>121</v>
      </c>
      <c r="C7" s="88"/>
      <c r="D7" s="88"/>
      <c r="E7" s="88"/>
      <c r="F7" s="88"/>
      <c r="G7" s="89"/>
      <c r="T7" s="1" t="s">
        <v>12</v>
      </c>
    </row>
    <row r="8" spans="2:20" ht="15.75" thickBot="1" x14ac:dyDescent="0.3">
      <c r="B8" s="14"/>
      <c r="C8" s="15"/>
      <c r="D8" s="15"/>
      <c r="E8" s="15"/>
      <c r="F8" s="15"/>
      <c r="G8" s="16"/>
      <c r="T8" s="1" t="s">
        <v>13</v>
      </c>
    </row>
    <row r="9" spans="2:20" ht="15.75" thickBot="1" x14ac:dyDescent="0.3">
      <c r="B9" s="92" t="s">
        <v>150</v>
      </c>
      <c r="C9" s="93"/>
      <c r="D9" s="81">
        <v>44280</v>
      </c>
      <c r="E9" s="15"/>
      <c r="F9" s="15"/>
      <c r="G9" s="16"/>
      <c r="T9" s="1" t="s">
        <v>14</v>
      </c>
    </row>
    <row r="10" spans="2:20" x14ac:dyDescent="0.25">
      <c r="B10" s="14"/>
      <c r="C10" s="15"/>
      <c r="D10" s="15"/>
      <c r="E10" s="15"/>
      <c r="F10" s="15"/>
      <c r="G10" s="82">
        <v>43545</v>
      </c>
    </row>
    <row r="11" spans="2:20" x14ac:dyDescent="0.25">
      <c r="B11" s="22" t="s">
        <v>15</v>
      </c>
      <c r="C11" s="23" t="s">
        <v>16</v>
      </c>
      <c r="D11" s="24" t="s">
        <v>6</v>
      </c>
      <c r="E11" s="23" t="s">
        <v>7</v>
      </c>
      <c r="F11" s="23" t="s">
        <v>17</v>
      </c>
      <c r="G11" s="25" t="s">
        <v>87</v>
      </c>
    </row>
    <row r="12" spans="2:20" x14ac:dyDescent="0.25">
      <c r="B12" s="21" t="s">
        <v>0</v>
      </c>
      <c r="C12" s="57" t="s">
        <v>13</v>
      </c>
      <c r="D12" s="60"/>
      <c r="E12" s="58" t="s">
        <v>153</v>
      </c>
      <c r="F12" s="59"/>
      <c r="G12" s="56" t="str">
        <f>+IF(C12="SI",IF(F12&lt;$G$10,"DESACTUALIZADO",""),"")</f>
        <v/>
      </c>
      <c r="H12" s="42">
        <f t="shared" ref="H12:H17" si="0">+IF(C12="N/A",1,0)</f>
        <v>0</v>
      </c>
      <c r="I12" s="42">
        <f t="shared" ref="I12:I17" si="1">+IF(C12="Si",1,0)</f>
        <v>0</v>
      </c>
      <c r="J12" s="42">
        <f t="shared" ref="J12:J17" si="2">+IF(C12="No",1,0)</f>
        <v>1</v>
      </c>
    </row>
    <row r="13" spans="2:20" x14ac:dyDescent="0.25">
      <c r="B13" s="21" t="s">
        <v>1</v>
      </c>
      <c r="C13" s="57" t="s">
        <v>12</v>
      </c>
      <c r="D13" s="60">
        <v>43615</v>
      </c>
      <c r="E13" s="58" t="s">
        <v>154</v>
      </c>
      <c r="F13" s="59">
        <v>44153</v>
      </c>
      <c r="G13" s="56" t="str">
        <f t="shared" ref="G13:G17" si="3">+IF(C13="SI",IF(F13&lt;$G$10,"DESACTUALIZADO",""),"")</f>
        <v/>
      </c>
      <c r="H13" s="42">
        <f t="shared" si="0"/>
        <v>0</v>
      </c>
      <c r="I13" s="42">
        <f t="shared" si="1"/>
        <v>1</v>
      </c>
      <c r="J13" s="42">
        <f t="shared" si="2"/>
        <v>0</v>
      </c>
    </row>
    <row r="14" spans="2:20" x14ac:dyDescent="0.25">
      <c r="B14" s="21" t="s">
        <v>2</v>
      </c>
      <c r="C14" s="57" t="s">
        <v>13</v>
      </c>
      <c r="D14" s="60"/>
      <c r="E14" s="58" t="s">
        <v>153</v>
      </c>
      <c r="F14" s="59"/>
      <c r="G14" s="56" t="str">
        <f t="shared" si="3"/>
        <v/>
      </c>
      <c r="H14" s="42">
        <f t="shared" si="0"/>
        <v>0</v>
      </c>
      <c r="I14" s="42">
        <f t="shared" si="1"/>
        <v>0</v>
      </c>
      <c r="J14" s="42">
        <f t="shared" si="2"/>
        <v>1</v>
      </c>
      <c r="T14" s="49">
        <v>43545</v>
      </c>
    </row>
    <row r="15" spans="2:20" x14ac:dyDescent="0.25">
      <c r="B15" s="21" t="s">
        <v>3</v>
      </c>
      <c r="C15" s="57" t="s">
        <v>12</v>
      </c>
      <c r="D15" s="60">
        <v>42388</v>
      </c>
      <c r="E15" s="58" t="s">
        <v>155</v>
      </c>
      <c r="F15" s="59">
        <v>44236</v>
      </c>
      <c r="G15" s="56" t="str">
        <f t="shared" si="3"/>
        <v/>
      </c>
      <c r="H15" s="42">
        <f t="shared" si="0"/>
        <v>0</v>
      </c>
      <c r="I15" s="42">
        <f t="shared" si="1"/>
        <v>1</v>
      </c>
      <c r="J15" s="42">
        <f t="shared" si="2"/>
        <v>0</v>
      </c>
    </row>
    <row r="16" spans="2:20" x14ac:dyDescent="0.25">
      <c r="B16" s="21" t="s">
        <v>4</v>
      </c>
      <c r="C16" s="57" t="s">
        <v>12</v>
      </c>
      <c r="D16" s="60">
        <v>44095</v>
      </c>
      <c r="E16" s="58" t="s">
        <v>158</v>
      </c>
      <c r="F16" s="59">
        <v>44153</v>
      </c>
      <c r="G16" s="56" t="str">
        <f t="shared" si="3"/>
        <v/>
      </c>
      <c r="H16" s="42">
        <f t="shared" si="0"/>
        <v>0</v>
      </c>
      <c r="I16" s="42">
        <f t="shared" si="1"/>
        <v>1</v>
      </c>
      <c r="J16" s="42">
        <f t="shared" si="2"/>
        <v>0</v>
      </c>
    </row>
    <row r="17" spans="2:10" x14ac:dyDescent="0.25">
      <c r="B17" s="21" t="s">
        <v>5</v>
      </c>
      <c r="C17" s="57" t="s">
        <v>12</v>
      </c>
      <c r="D17" s="60">
        <v>43965</v>
      </c>
      <c r="E17" s="58" t="s">
        <v>156</v>
      </c>
      <c r="F17" s="59">
        <v>44153</v>
      </c>
      <c r="G17" s="56" t="str">
        <f t="shared" si="3"/>
        <v/>
      </c>
      <c r="H17" s="42">
        <f t="shared" si="0"/>
        <v>0</v>
      </c>
      <c r="I17" s="42">
        <f t="shared" si="1"/>
        <v>1</v>
      </c>
      <c r="J17" s="42">
        <f t="shared" si="2"/>
        <v>0</v>
      </c>
    </row>
    <row r="18" spans="2:10" x14ac:dyDescent="0.25">
      <c r="B18" s="14"/>
      <c r="C18" s="15"/>
      <c r="D18" s="15"/>
      <c r="E18" s="15"/>
      <c r="F18" s="15"/>
      <c r="G18" s="16"/>
    </row>
    <row r="19" spans="2:10" ht="94.5" customHeight="1" thickBot="1" x14ac:dyDescent="0.3">
      <c r="B19" s="72" t="s">
        <v>104</v>
      </c>
      <c r="C19" s="90" t="s">
        <v>157</v>
      </c>
      <c r="D19" s="90"/>
      <c r="E19" s="90"/>
      <c r="F19" s="90"/>
      <c r="G19" s="91"/>
    </row>
  </sheetData>
  <sheetProtection algorithmName="SHA-512" hashValue="25M01pyRemgaH4CA3gaV6VpBPMwYEpT0BiYjb7YwtGfTlh3I8D8o3d0veWwkPa7DQ+yiOEb8qu00YEaezh5kWw==" saltValue="HJ3GI+QJ+qAq7O7pTyfWrA==" spinCount="100000" sheet="1" objects="1" scenarios="1"/>
  <mergeCells count="3">
    <mergeCell ref="B7:G7"/>
    <mergeCell ref="C19:G19"/>
    <mergeCell ref="B9:C9"/>
  </mergeCells>
  <dataValidations count="2">
    <dataValidation type="date" allowBlank="1" showInputMessage="1" showErrorMessage="1" sqref="F12:F17 D12:D17" xr:uid="{00000000-0002-0000-0100-000000000000}">
      <formula1>40544</formula1>
      <formula2>44255</formula2>
    </dataValidation>
    <dataValidation type="list" allowBlank="1" showInputMessage="1" showErrorMessage="1" sqref="C12:C17" xr:uid="{00000000-0002-0000-0100-000001000000}">
      <formula1>$T$7:$T$9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E3"/>
  <sheetViews>
    <sheetView topLeftCell="AS1" workbookViewId="0">
      <selection activeCell="BE4" sqref="BE4"/>
    </sheetView>
  </sheetViews>
  <sheetFormatPr baseColWidth="10" defaultRowHeight="15" x14ac:dyDescent="0.25"/>
  <sheetData>
    <row r="2" spans="1:57" x14ac:dyDescent="0.25">
      <c r="A2" t="s">
        <v>0</v>
      </c>
      <c r="B2" t="s">
        <v>1</v>
      </c>
      <c r="C2" t="s">
        <v>2</v>
      </c>
      <c r="D2" t="s">
        <v>3</v>
      </c>
      <c r="E2" t="s">
        <v>4</v>
      </c>
      <c r="F2" t="s">
        <v>5</v>
      </c>
      <c r="G2" t="s">
        <v>21</v>
      </c>
      <c r="H2" t="s">
        <v>22</v>
      </c>
      <c r="I2" t="s">
        <v>26</v>
      </c>
      <c r="J2" t="s">
        <v>20</v>
      </c>
      <c r="K2" t="s">
        <v>111</v>
      </c>
      <c r="L2" s="15" t="s">
        <v>112</v>
      </c>
      <c r="M2" s="20" t="s">
        <v>105</v>
      </c>
      <c r="N2" s="20" t="s">
        <v>106</v>
      </c>
      <c r="O2" s="20" t="s">
        <v>107</v>
      </c>
      <c r="Q2" t="s">
        <v>28</v>
      </c>
      <c r="R2" t="s">
        <v>29</v>
      </c>
      <c r="S2" t="s">
        <v>30</v>
      </c>
      <c r="T2" t="s">
        <v>63</v>
      </c>
      <c r="U2" t="s">
        <v>62</v>
      </c>
      <c r="V2" t="s">
        <v>37</v>
      </c>
      <c r="W2" t="s">
        <v>64</v>
      </c>
      <c r="X2" t="s">
        <v>27</v>
      </c>
      <c r="Y2" t="s">
        <v>66</v>
      </c>
      <c r="Z2" t="s">
        <v>65</v>
      </c>
      <c r="AA2" t="s">
        <v>35</v>
      </c>
      <c r="AB2" t="s">
        <v>67</v>
      </c>
      <c r="AC2" t="s">
        <v>68</v>
      </c>
      <c r="AD2" t="s">
        <v>36</v>
      </c>
      <c r="AE2" t="s">
        <v>69</v>
      </c>
      <c r="AF2" t="s">
        <v>70</v>
      </c>
      <c r="AG2" t="s">
        <v>71</v>
      </c>
      <c r="AH2" t="s">
        <v>72</v>
      </c>
      <c r="AI2" t="s">
        <v>69</v>
      </c>
      <c r="AJ2" t="s">
        <v>70</v>
      </c>
      <c r="AK2" t="s">
        <v>71</v>
      </c>
      <c r="AL2" t="s">
        <v>72</v>
      </c>
      <c r="AM2" t="s">
        <v>55</v>
      </c>
      <c r="AN2" t="s">
        <v>57</v>
      </c>
      <c r="AO2" t="s">
        <v>52</v>
      </c>
      <c r="AP2" t="s">
        <v>53</v>
      </c>
      <c r="AQ2" t="s">
        <v>54</v>
      </c>
      <c r="AR2" t="s">
        <v>58</v>
      </c>
      <c r="AS2" t="s">
        <v>75</v>
      </c>
      <c r="AT2" t="s">
        <v>60</v>
      </c>
      <c r="AU2" t="s">
        <v>61</v>
      </c>
      <c r="AV2" t="s">
        <v>77</v>
      </c>
      <c r="AW2" t="s">
        <v>78</v>
      </c>
      <c r="AX2" s="15" t="s">
        <v>80</v>
      </c>
      <c r="AY2" s="15" t="s">
        <v>81</v>
      </c>
      <c r="AZ2" t="s">
        <v>144</v>
      </c>
      <c r="BA2" t="s">
        <v>145</v>
      </c>
      <c r="BB2" t="s">
        <v>146</v>
      </c>
      <c r="BC2" t="s">
        <v>147</v>
      </c>
      <c r="BD2" t="s">
        <v>148</v>
      </c>
      <c r="BE2" t="s">
        <v>149</v>
      </c>
    </row>
    <row r="3" spans="1:57" x14ac:dyDescent="0.25">
      <c r="A3" t="str">
        <f>+USUARIOS!C12</f>
        <v>No</v>
      </c>
      <c r="B3" t="str">
        <f>+USUARIOS!C13</f>
        <v>Si</v>
      </c>
      <c r="C3" t="str">
        <f>+USUARIOS!C14</f>
        <v>No</v>
      </c>
      <c r="D3" t="str">
        <f>+USUARIOS!C15</f>
        <v>Si</v>
      </c>
      <c r="E3" t="str">
        <f>+USUARIOS!C16</f>
        <v>Si</v>
      </c>
      <c r="F3" t="str">
        <f>+USUARIOS!C17</f>
        <v>Si</v>
      </c>
      <c r="G3">
        <f>+ABOGADOS!D11</f>
        <v>10</v>
      </c>
      <c r="H3">
        <f>+ABOGADOS!D12</f>
        <v>12</v>
      </c>
      <c r="I3">
        <f>+ABOGADOS!D13</f>
        <v>12</v>
      </c>
      <c r="J3">
        <f>+ABOGADOS!D14</f>
        <v>10</v>
      </c>
      <c r="K3">
        <f>+ABOGADOS!D17</f>
        <v>4</v>
      </c>
      <c r="L3">
        <f>+ABOGADOS!D18</f>
        <v>4</v>
      </c>
      <c r="M3">
        <f>+ABOGADOS!G10</f>
        <v>10</v>
      </c>
      <c r="N3">
        <f>+ABOGADOS!G11</f>
        <v>10</v>
      </c>
      <c r="O3">
        <f>+ABOGADOS!G12</f>
        <v>10</v>
      </c>
      <c r="Q3">
        <f>+JUDICIALES!D11</f>
        <v>67</v>
      </c>
      <c r="R3">
        <f>+JUDICIALES!D12</f>
        <v>67</v>
      </c>
      <c r="S3">
        <f>+JUDICIALES!D13</f>
        <v>67</v>
      </c>
      <c r="T3">
        <f>+JUDICIALES!D16</f>
        <v>1</v>
      </c>
      <c r="U3">
        <f>+JUDICIALES!D17</f>
        <v>0</v>
      </c>
      <c r="V3">
        <f>+JUDICIALES!D21</f>
        <v>21</v>
      </c>
      <c r="W3">
        <f>+JUDICIALES!D22</f>
        <v>0</v>
      </c>
      <c r="X3">
        <f>+JUDICIALES!G9</f>
        <v>0</v>
      </c>
      <c r="Y3">
        <f>+JUDICIALES!G10</f>
        <v>0</v>
      </c>
      <c r="Z3">
        <f>+JUDICIALES!G11</f>
        <v>0</v>
      </c>
      <c r="AA3">
        <f>+JUDICIALES!G15</f>
        <v>62</v>
      </c>
      <c r="AB3">
        <f>+JUDICIALES!G16</f>
        <v>61</v>
      </c>
      <c r="AC3">
        <f>+JUDICIALES!G17</f>
        <v>1</v>
      </c>
      <c r="AD3">
        <f>+JUDICIALES!G18</f>
        <v>0</v>
      </c>
      <c r="AE3">
        <f>+JUDICIALES!G21</f>
        <v>39</v>
      </c>
      <c r="AF3">
        <f>+JUDICIALES!G22</f>
        <v>14</v>
      </c>
      <c r="AG3">
        <f>+JUDICIALES!G23</f>
        <v>2</v>
      </c>
      <c r="AH3">
        <f>+JUDICIALES!G24</f>
        <v>7</v>
      </c>
      <c r="AI3">
        <f>+JUDICIALES!H21</f>
        <v>1</v>
      </c>
      <c r="AJ3">
        <f>+JUDICIALES!H22</f>
        <v>13</v>
      </c>
      <c r="AK3">
        <f>+JUDICIALES!H23</f>
        <v>2</v>
      </c>
      <c r="AL3">
        <f>+JUDICIALES!H24</f>
        <v>7</v>
      </c>
      <c r="AM3">
        <f>+PREJUDICIALES!D10</f>
        <v>0</v>
      </c>
      <c r="AN3">
        <f>+PREJUDICIALES!D11</f>
        <v>0</v>
      </c>
      <c r="AO3">
        <f>+PREJUDICIALES!D12</f>
        <v>0</v>
      </c>
      <c r="AP3">
        <f>+PREJUDICIALES!D13</f>
        <v>0</v>
      </c>
      <c r="AQ3">
        <f>+PREJUDICIALES!D14</f>
        <v>0</v>
      </c>
      <c r="AR3">
        <f>+PREJUDICIALES!D17</f>
        <v>4</v>
      </c>
      <c r="AS3">
        <f>+PREJUDICIALES!D18</f>
        <v>3</v>
      </c>
      <c r="AT3">
        <f>+PREJUDICIALES!G12</f>
        <v>0</v>
      </c>
      <c r="AU3">
        <f>+PREJUDICIALES!G13</f>
        <v>0</v>
      </c>
      <c r="AV3">
        <f>+ARBITRAMENTOS!D9</f>
        <v>1</v>
      </c>
      <c r="AW3">
        <f>+ARBITRAMENTOS!D10</f>
        <v>1</v>
      </c>
      <c r="AX3" t="str">
        <f>+PAGOS!D9</f>
        <v>No</v>
      </c>
      <c r="AY3">
        <f>+PAGOS!D10</f>
        <v>0</v>
      </c>
      <c r="AZ3" t="str">
        <f>+USUARIOS!C19</f>
        <v>Nota 1: De acuerdo a lo informado por el Jefe Jurídico y Administrador del Sistema, "Respecto del perfil "Enlace de Pagos y Jefe Financiero", teniendo en cuenta lo indicado en la Circular Externa No.02 del 15 de junio de 2019 emitida por la ANDJE, solo debe habilitarse para las entidades que gestionan pagos a travez del rubro de sentencias y conciliaciones en el SIIF, en el caso del P.A. FONTUR no aplica ya que el Art. 2.9.1.1.3. del Decreto 1068 de 2015 no incluye al P.A. FONTUR dentro de las entidades que deben usar SIIF.</v>
      </c>
      <c r="BA3" t="str">
        <f>+ABOGADOS!C21</f>
        <v>Nota 1: La totalidad de los abogados que se encontraban litigando al 31/12/2020, se encontraban registrados en eKOGUI con su correo electronico actualizado.
Nota 2: Los ABOGADOS activos en eKOGUI que no se encuentran litigando cumplen funciones de apoyo, por ende, la diferencia NO corresponde a abogados desactualizados o que deban ser inactivados en el sistema.</v>
      </c>
      <c r="BB3" t="str">
        <f>+JUDICIALES!F28</f>
        <v>Nota 1. La fuente de información oficial de los procesos judiciales del P.A. FONTUR es el sistema eKOGUI
Nota 2: El proceso cuya calificación de riesgo fue efectuada antes del 30 de junio de 2020, corresponde al proceso 1129552 cuyo demandante es el CONSORCIO AAC ARISTA SAS y abogado de la entidad asignado es el Dr. JUAN PABLO ALVAREZ CANDAMIL, el cual fue actualizado el 26 de marzo de 2021.
Nota 3: El proceso con probabilidad ALTA que presenta una provisión contable igual a cero corresponde al proceso 1102298 cuyo demandante es CONCESIONARIA VIAL DE COLOMBIA SAS y abogado de la entidad asignado es el Dr. RAMIRO RODRIGUEZ LOPEZ con un valor indexado de pretenciones de $46.958.312,25</v>
      </c>
      <c r="BC3" t="str">
        <f>+PREJUDICIALES!F17</f>
        <v>Nota 1: La fuente de información oficial de las conciliaciones Prejudiciales es eKOGUI
Nota 2: El proceso No. 1457134 presenta actuaciones desde el 1 de septiembre de 2020 actualizadas hasta el 14 de enero de 2021, este proceso se terminó el 30 de noviembre de 2020 cuya ultima actuación fue "CONCILIACION EXTRAJUDICIAL FALLIDA"</v>
      </c>
      <c r="BD3" t="str">
        <f>+ARBITRAMENTOS!C13</f>
        <v>Nota 1: La fuente de información oficial de las conciliaciones Prejudiciales es eKOGUI</v>
      </c>
      <c r="BE3" t="str">
        <f>+PAGOS!F8</f>
        <v>De acuerdo a lo informado por el Jefe Jurídico, el PA FONTUR, no se encuentra relacionado en el artículo 2.9.1.1.3 del Decreto 1068 de 2015, que establece que entidades están a usar el SIIF Nación.</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1:V25"/>
  <sheetViews>
    <sheetView showGridLines="0" topLeftCell="A7" workbookViewId="0">
      <selection activeCell="C21" sqref="C21:G24"/>
    </sheetView>
  </sheetViews>
  <sheetFormatPr baseColWidth="10"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10</v>
      </c>
    </row>
    <row r="4" spans="2:22" x14ac:dyDescent="0.25">
      <c r="B4" s="14"/>
      <c r="C4" s="15"/>
      <c r="D4" s="15"/>
      <c r="E4" s="15"/>
      <c r="F4" s="15"/>
      <c r="G4" s="15"/>
      <c r="H4" s="16"/>
    </row>
    <row r="5" spans="2:22" x14ac:dyDescent="0.25">
      <c r="B5" s="14"/>
      <c r="C5" s="15"/>
      <c r="D5" s="15"/>
      <c r="E5" s="15"/>
      <c r="F5" s="15"/>
      <c r="G5" s="15"/>
      <c r="H5" s="16"/>
    </row>
    <row r="6" spans="2:22" ht="15" customHeight="1" thickBot="1" x14ac:dyDescent="0.3">
      <c r="B6" s="14"/>
      <c r="C6" s="27"/>
      <c r="D6" s="27"/>
      <c r="E6" s="27"/>
      <c r="G6" s="32"/>
      <c r="H6" s="33"/>
    </row>
    <row r="7" spans="2:22" ht="17.25" customHeight="1" thickBot="1" x14ac:dyDescent="0.4">
      <c r="B7" s="14"/>
      <c r="C7" s="20" t="s">
        <v>124</v>
      </c>
      <c r="D7" s="81">
        <v>44280</v>
      </c>
      <c r="E7" s="26"/>
      <c r="F7" s="94" t="str">
        <f>"Seleccione una muestra de "&amp;V3&amp;" abogados activos y complete la siguiente tabla"</f>
        <v>Seleccione una muestra de 10 abogados activos y complete la siguiente tabla</v>
      </c>
      <c r="G7" s="95"/>
      <c r="H7" s="33"/>
    </row>
    <row r="8" spans="2:22" x14ac:dyDescent="0.25">
      <c r="B8" s="14"/>
      <c r="D8" s="15"/>
      <c r="E8" s="15"/>
      <c r="F8" s="96"/>
      <c r="G8" s="97"/>
      <c r="H8" s="16"/>
      <c r="T8" s="1" t="s">
        <v>13</v>
      </c>
    </row>
    <row r="9" spans="2:22" ht="23.25" x14ac:dyDescent="0.25">
      <c r="B9" s="14"/>
      <c r="C9" s="34" t="s">
        <v>119</v>
      </c>
      <c r="E9" s="6"/>
      <c r="F9" s="24" t="s">
        <v>108</v>
      </c>
      <c r="G9" s="24" t="s">
        <v>19</v>
      </c>
      <c r="H9" s="16"/>
      <c r="T9" s="1" t="s">
        <v>14</v>
      </c>
    </row>
    <row r="10" spans="2:22" x14ac:dyDescent="0.25">
      <c r="B10" s="14"/>
      <c r="C10" s="23" t="s">
        <v>120</v>
      </c>
      <c r="D10" s="23" t="s">
        <v>23</v>
      </c>
      <c r="E10" s="6"/>
      <c r="F10" s="20" t="s">
        <v>105</v>
      </c>
      <c r="G10" s="57">
        <v>10</v>
      </c>
      <c r="H10" s="16"/>
    </row>
    <row r="11" spans="2:22" x14ac:dyDescent="0.25">
      <c r="B11" s="14"/>
      <c r="C11" s="20" t="s">
        <v>21</v>
      </c>
      <c r="D11" s="57">
        <v>10</v>
      </c>
      <c r="E11" s="6"/>
      <c r="F11" s="20" t="s">
        <v>106</v>
      </c>
      <c r="G11" s="57">
        <v>10</v>
      </c>
      <c r="H11" s="16"/>
    </row>
    <row r="12" spans="2:22" x14ac:dyDescent="0.25">
      <c r="B12" s="14"/>
      <c r="C12" s="20" t="s">
        <v>22</v>
      </c>
      <c r="D12" s="57">
        <v>12</v>
      </c>
      <c r="E12" s="6"/>
      <c r="F12" s="20" t="s">
        <v>107</v>
      </c>
      <c r="G12" s="57">
        <v>10</v>
      </c>
      <c r="H12" s="16"/>
    </row>
    <row r="13" spans="2:22" x14ac:dyDescent="0.25">
      <c r="B13" s="14"/>
      <c r="C13" s="20" t="s">
        <v>26</v>
      </c>
      <c r="D13" s="57">
        <v>12</v>
      </c>
      <c r="E13" s="6"/>
      <c r="F13" s="53" t="s">
        <v>113</v>
      </c>
      <c r="G13" s="52"/>
      <c r="H13" s="16"/>
    </row>
    <row r="14" spans="2:22" x14ac:dyDescent="0.25">
      <c r="B14" s="14"/>
      <c r="C14" s="20" t="s">
        <v>20</v>
      </c>
      <c r="D14" s="57">
        <v>10</v>
      </c>
      <c r="E14" s="6"/>
      <c r="F14" s="54" t="s">
        <v>114</v>
      </c>
      <c r="G14" s="55"/>
      <c r="H14" s="16"/>
    </row>
    <row r="15" spans="2:22" x14ac:dyDescent="0.25">
      <c r="B15" s="14"/>
      <c r="E15" s="6"/>
      <c r="H15" s="16"/>
    </row>
    <row r="16" spans="2:22" x14ac:dyDescent="0.25">
      <c r="B16" s="14"/>
      <c r="C16" s="23" t="s">
        <v>24</v>
      </c>
      <c r="D16" s="23" t="s">
        <v>23</v>
      </c>
      <c r="E16" s="6"/>
      <c r="F16" s="24" t="s">
        <v>117</v>
      </c>
      <c r="G16" s="24" t="s">
        <v>19</v>
      </c>
      <c r="H16" s="16"/>
    </row>
    <row r="17" spans="2:8" x14ac:dyDescent="0.25">
      <c r="B17" s="14"/>
      <c r="C17" s="20" t="s">
        <v>122</v>
      </c>
      <c r="D17" s="57">
        <v>4</v>
      </c>
      <c r="E17" s="6"/>
      <c r="F17" s="20" t="s">
        <v>125</v>
      </c>
      <c r="G17" s="57">
        <v>12</v>
      </c>
      <c r="H17" s="16"/>
    </row>
    <row r="18" spans="2:8" x14ac:dyDescent="0.25">
      <c r="B18" s="14"/>
      <c r="C18" s="20" t="s">
        <v>123</v>
      </c>
      <c r="D18" s="57">
        <v>4</v>
      </c>
      <c r="E18" s="6"/>
      <c r="F18" s="50" t="s">
        <v>88</v>
      </c>
      <c r="G18" s="57">
        <v>0</v>
      </c>
      <c r="H18" s="16"/>
    </row>
    <row r="19" spans="2:8" x14ac:dyDescent="0.25">
      <c r="B19" s="14"/>
      <c r="C19" s="67"/>
      <c r="E19" s="6"/>
      <c r="F19" s="20" t="s">
        <v>110</v>
      </c>
      <c r="G19" s="57">
        <v>0</v>
      </c>
      <c r="H19" s="16"/>
    </row>
    <row r="20" spans="2:8" ht="15.75" thickBot="1" x14ac:dyDescent="0.3">
      <c r="B20" s="14"/>
      <c r="C20" s="67" t="s">
        <v>109</v>
      </c>
      <c r="D20" s="75"/>
      <c r="E20" s="6"/>
      <c r="F20" s="73" t="s">
        <v>25</v>
      </c>
      <c r="G20" s="74">
        <v>0</v>
      </c>
      <c r="H20" s="16"/>
    </row>
    <row r="21" spans="2:8" x14ac:dyDescent="0.25">
      <c r="B21" s="14"/>
      <c r="C21" s="98" t="s">
        <v>160</v>
      </c>
      <c r="D21" s="99"/>
      <c r="E21" s="99"/>
      <c r="F21" s="99"/>
      <c r="G21" s="100"/>
      <c r="H21" s="16"/>
    </row>
    <row r="22" spans="2:8" x14ac:dyDescent="0.25">
      <c r="B22" s="14"/>
      <c r="C22" s="101"/>
      <c r="D22" s="102"/>
      <c r="E22" s="102"/>
      <c r="F22" s="102"/>
      <c r="G22" s="103"/>
      <c r="H22" s="16"/>
    </row>
    <row r="23" spans="2:8" x14ac:dyDescent="0.25">
      <c r="B23" s="14"/>
      <c r="C23" s="101"/>
      <c r="D23" s="102"/>
      <c r="E23" s="102"/>
      <c r="F23" s="102"/>
      <c r="G23" s="103"/>
      <c r="H23" s="16"/>
    </row>
    <row r="24" spans="2:8" ht="15.75" thickBot="1" x14ac:dyDescent="0.3">
      <c r="B24" s="14"/>
      <c r="C24" s="104"/>
      <c r="D24" s="105"/>
      <c r="E24" s="105"/>
      <c r="F24" s="105"/>
      <c r="G24" s="106"/>
      <c r="H24" s="16"/>
    </row>
    <row r="25" spans="2:8" ht="15.75" thickBot="1" x14ac:dyDescent="0.3">
      <c r="B25" s="17"/>
      <c r="C25" s="18"/>
      <c r="D25" s="18"/>
      <c r="E25" s="18"/>
      <c r="F25" s="18"/>
      <c r="G25" s="18"/>
      <c r="H25" s="19"/>
    </row>
  </sheetData>
  <sheetProtection algorithmName="SHA-512" hashValue="ZChrELvPb+j4cIJ1M3PA4+X3uunizEPjU7fllewijEMUQyJxd2/8M7oH0KxRF81/7BiAi4Zo7WHOguM4F+JBrw==" saltValue="H0s3O6ytyRAZ8aR51gBU2A==" spinCount="100000" sheet="1"/>
  <mergeCells count="2">
    <mergeCell ref="F7:G8"/>
    <mergeCell ref="C21:G24"/>
  </mergeCells>
  <dataValidations count="1">
    <dataValidation type="date" allowBlank="1" showInputMessage="1" showErrorMessage="1" sqref="D7" xr:uid="{00000000-0002-0000-0300-000000000000}">
      <formula1>44197</formula1>
      <formula2>44286</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W34"/>
  <sheetViews>
    <sheetView showGridLines="0" topLeftCell="A23" zoomScale="98" zoomScaleNormal="98" workbookViewId="0">
      <selection activeCell="F28" sqref="F28:H33"/>
    </sheetView>
  </sheetViews>
  <sheetFormatPr baseColWidth="10" defaultRowHeight="15" x14ac:dyDescent="0.25"/>
  <cols>
    <col min="1" max="1" width="3.85546875" style="1" customWidth="1"/>
    <col min="2" max="2" width="11.42578125" style="1"/>
    <col min="3" max="3" width="56.5703125" style="1" bestFit="1" customWidth="1"/>
    <col min="4" max="4" width="15.28515625" style="1" customWidth="1"/>
    <col min="5" max="5" width="6.28515625" style="1" customWidth="1"/>
    <col min="6" max="6" width="55.85546875" style="1" bestFit="1" customWidth="1"/>
    <col min="7" max="7" width="11.2851562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0</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10" t="s">
        <v>74</v>
      </c>
      <c r="D6" s="110"/>
      <c r="E6" s="110"/>
      <c r="F6" s="110"/>
      <c r="G6" s="110"/>
      <c r="H6" s="110"/>
      <c r="I6" s="33"/>
    </row>
    <row r="7" spans="2:23" ht="15.75" thickBot="1" x14ac:dyDescent="0.3">
      <c r="B7" s="14"/>
      <c r="C7" s="15"/>
      <c r="D7" s="15"/>
      <c r="E7" s="15"/>
      <c r="F7" s="15"/>
      <c r="G7" s="15"/>
      <c r="H7" s="15"/>
      <c r="I7" s="16"/>
      <c r="U7" s="1" t="s">
        <v>13</v>
      </c>
    </row>
    <row r="8" spans="2:23" ht="15.75" thickBot="1" x14ac:dyDescent="0.3">
      <c r="B8" s="14"/>
      <c r="C8" s="23" t="s">
        <v>127</v>
      </c>
      <c r="D8" s="81">
        <v>44280</v>
      </c>
      <c r="E8" s="6"/>
      <c r="F8" s="37" t="s">
        <v>116</v>
      </c>
      <c r="G8" s="37" t="s">
        <v>18</v>
      </c>
      <c r="H8" s="15"/>
      <c r="I8" s="16"/>
      <c r="U8" s="1" t="s">
        <v>14</v>
      </c>
    </row>
    <row r="9" spans="2:23" x14ac:dyDescent="0.25">
      <c r="B9" s="14"/>
      <c r="E9" s="6"/>
      <c r="F9" s="20" t="s">
        <v>27</v>
      </c>
      <c r="G9" s="57">
        <v>0</v>
      </c>
      <c r="H9" s="15"/>
      <c r="I9" s="16"/>
    </row>
    <row r="10" spans="2:23" x14ac:dyDescent="0.25">
      <c r="B10" s="14"/>
      <c r="C10" s="23" t="s">
        <v>126</v>
      </c>
      <c r="D10" s="23" t="s">
        <v>23</v>
      </c>
      <c r="E10" s="6"/>
      <c r="F10" s="20" t="s">
        <v>66</v>
      </c>
      <c r="G10" s="57">
        <v>0</v>
      </c>
      <c r="H10" s="15"/>
      <c r="I10" s="16"/>
    </row>
    <row r="11" spans="2:23" x14ac:dyDescent="0.25">
      <c r="B11" s="14"/>
      <c r="C11" s="20" t="s">
        <v>28</v>
      </c>
      <c r="D11" s="57">
        <v>67</v>
      </c>
      <c r="E11" s="6"/>
      <c r="F11" s="20" t="s">
        <v>93</v>
      </c>
      <c r="G11" s="57">
        <v>0</v>
      </c>
      <c r="H11" s="15"/>
      <c r="I11" s="16"/>
    </row>
    <row r="12" spans="2:23" x14ac:dyDescent="0.25">
      <c r="B12" s="14"/>
      <c r="C12" s="20" t="s">
        <v>29</v>
      </c>
      <c r="D12" s="57">
        <v>67</v>
      </c>
      <c r="E12" s="6"/>
      <c r="F12" s="38" t="s">
        <v>92</v>
      </c>
      <c r="I12" s="16"/>
    </row>
    <row r="13" spans="2:23" x14ac:dyDescent="0.25">
      <c r="B13" s="14"/>
      <c r="C13" s="20" t="s">
        <v>89</v>
      </c>
      <c r="D13" s="57">
        <v>67</v>
      </c>
      <c r="E13" s="6"/>
      <c r="F13" s="38" t="s">
        <v>94</v>
      </c>
      <c r="I13" s="16"/>
    </row>
    <row r="14" spans="2:23" x14ac:dyDescent="0.25">
      <c r="B14" s="14"/>
      <c r="E14" s="6"/>
      <c r="F14" s="24" t="s">
        <v>34</v>
      </c>
      <c r="G14" s="24" t="s">
        <v>23</v>
      </c>
      <c r="I14" s="16"/>
    </row>
    <row r="15" spans="2:23" x14ac:dyDescent="0.25">
      <c r="B15" s="14"/>
      <c r="C15" s="23" t="s">
        <v>128</v>
      </c>
      <c r="D15" s="23" t="s">
        <v>23</v>
      </c>
      <c r="E15" s="6"/>
      <c r="F15" s="20" t="s">
        <v>132</v>
      </c>
      <c r="G15" s="57">
        <v>62</v>
      </c>
      <c r="I15" s="16"/>
    </row>
    <row r="16" spans="2:23" x14ac:dyDescent="0.25">
      <c r="B16" s="14"/>
      <c r="C16" s="20" t="s">
        <v>151</v>
      </c>
      <c r="D16" s="57">
        <v>1</v>
      </c>
      <c r="E16" s="6"/>
      <c r="F16" s="20" t="s">
        <v>133</v>
      </c>
      <c r="G16" s="57">
        <v>61</v>
      </c>
      <c r="H16" s="15"/>
      <c r="I16" s="16"/>
    </row>
    <row r="17" spans="2:9" x14ac:dyDescent="0.25">
      <c r="B17" s="14"/>
      <c r="C17" s="20" t="s">
        <v>152</v>
      </c>
      <c r="D17" s="57">
        <v>0</v>
      </c>
      <c r="E17" s="6"/>
      <c r="F17" s="20" t="s">
        <v>134</v>
      </c>
      <c r="G17" s="57">
        <v>1</v>
      </c>
      <c r="H17" s="15"/>
      <c r="I17" s="16"/>
    </row>
    <row r="18" spans="2:9" x14ac:dyDescent="0.25">
      <c r="B18" s="14"/>
      <c r="C18" s="38" t="s">
        <v>90</v>
      </c>
      <c r="E18" s="6"/>
      <c r="F18" s="20" t="s">
        <v>36</v>
      </c>
      <c r="G18" s="57">
        <v>0</v>
      </c>
      <c r="H18" s="15"/>
      <c r="I18" s="16"/>
    </row>
    <row r="19" spans="2:9" x14ac:dyDescent="0.25">
      <c r="B19" s="14"/>
      <c r="E19" s="6"/>
      <c r="H19" s="15"/>
      <c r="I19" s="16"/>
    </row>
    <row r="20" spans="2:9" ht="29.25" customHeight="1" x14ac:dyDescent="0.25">
      <c r="B20" s="14"/>
      <c r="C20" s="51" t="s">
        <v>33</v>
      </c>
      <c r="D20" s="51" t="s">
        <v>23</v>
      </c>
      <c r="E20" s="6"/>
      <c r="F20" s="39" t="s">
        <v>115</v>
      </c>
      <c r="G20" s="39" t="s">
        <v>31</v>
      </c>
      <c r="H20" s="40" t="s">
        <v>73</v>
      </c>
      <c r="I20" s="16"/>
    </row>
    <row r="21" spans="2:9" x14ac:dyDescent="0.25">
      <c r="B21" s="14"/>
      <c r="C21" s="68" t="s">
        <v>129</v>
      </c>
      <c r="D21" s="69">
        <v>21</v>
      </c>
      <c r="E21" s="6"/>
      <c r="F21" s="20" t="s">
        <v>69</v>
      </c>
      <c r="G21" s="57">
        <v>39</v>
      </c>
      <c r="H21" s="57">
        <v>1</v>
      </c>
      <c r="I21" s="16"/>
    </row>
    <row r="22" spans="2:9" ht="15" customHeight="1" x14ac:dyDescent="0.25">
      <c r="B22" s="14"/>
      <c r="C22" s="68" t="s">
        <v>91</v>
      </c>
      <c r="D22" s="69">
        <v>0</v>
      </c>
      <c r="E22" s="6"/>
      <c r="F22" s="20" t="s">
        <v>70</v>
      </c>
      <c r="G22" s="57">
        <v>14</v>
      </c>
      <c r="H22" s="57">
        <v>13</v>
      </c>
      <c r="I22" s="16"/>
    </row>
    <row r="23" spans="2:9" ht="24.75" x14ac:dyDescent="0.25">
      <c r="B23" s="14"/>
      <c r="C23" s="80" t="s">
        <v>130</v>
      </c>
      <c r="D23" s="80"/>
      <c r="E23" s="6"/>
      <c r="F23" s="20" t="s">
        <v>71</v>
      </c>
      <c r="G23" s="57">
        <v>2</v>
      </c>
      <c r="H23" s="57">
        <v>2</v>
      </c>
      <c r="I23" s="16"/>
    </row>
    <row r="24" spans="2:9" x14ac:dyDescent="0.25">
      <c r="B24" s="14"/>
      <c r="C24" s="15"/>
      <c r="E24" s="6"/>
      <c r="F24" s="20" t="s">
        <v>72</v>
      </c>
      <c r="G24" s="57">
        <v>7</v>
      </c>
      <c r="H24" s="57">
        <v>7</v>
      </c>
      <c r="I24" s="16"/>
    </row>
    <row r="25" spans="2:9" ht="30" customHeight="1" x14ac:dyDescent="0.25">
      <c r="B25" s="14"/>
      <c r="C25" s="76" t="str">
        <f>"Seleccione "&amp;W3&amp;" procesos teminados en el  segundo semestre de 2020 y llene la siguiente tabla:"</f>
        <v>Seleccione 0 procesos teminados en el  segundo semestre de 2020 y llene la siguiente tabla:</v>
      </c>
      <c r="D25" s="77"/>
      <c r="E25" s="6"/>
      <c r="F25" s="111" t="s">
        <v>131</v>
      </c>
      <c r="G25" s="111"/>
      <c r="H25" s="111"/>
      <c r="I25" s="16"/>
    </row>
    <row r="26" spans="2:9" ht="15.75" thickBot="1" x14ac:dyDescent="0.3">
      <c r="B26" s="14"/>
      <c r="C26" s="78"/>
      <c r="D26" s="79"/>
      <c r="E26" s="6"/>
      <c r="F26" s="70"/>
      <c r="G26" s="15"/>
      <c r="H26" s="15"/>
      <c r="I26" s="16"/>
    </row>
    <row r="27" spans="2:9" ht="15.75" thickBot="1" x14ac:dyDescent="0.3">
      <c r="B27" s="14"/>
      <c r="C27" s="51" t="s">
        <v>103</v>
      </c>
      <c r="D27" s="51" t="s">
        <v>23</v>
      </c>
      <c r="E27" s="6"/>
      <c r="F27" s="107" t="s">
        <v>102</v>
      </c>
      <c r="G27" s="108"/>
      <c r="H27" s="109"/>
      <c r="I27" s="16"/>
    </row>
    <row r="28" spans="2:9" x14ac:dyDescent="0.25">
      <c r="B28" s="14"/>
      <c r="C28" s="20" t="s">
        <v>95</v>
      </c>
      <c r="D28" s="57"/>
      <c r="E28" s="6"/>
      <c r="F28" s="98" t="s">
        <v>164</v>
      </c>
      <c r="G28" s="99"/>
      <c r="H28" s="100"/>
      <c r="I28" s="16"/>
    </row>
    <row r="29" spans="2:9" x14ac:dyDescent="0.25">
      <c r="B29" s="14"/>
      <c r="C29" s="20" t="s">
        <v>96</v>
      </c>
      <c r="D29" s="57"/>
      <c r="E29" s="6"/>
      <c r="F29" s="101"/>
      <c r="G29" s="102"/>
      <c r="H29" s="103"/>
      <c r="I29" s="16"/>
    </row>
    <row r="30" spans="2:9" x14ac:dyDescent="0.25">
      <c r="B30" s="14"/>
      <c r="C30" s="20" t="s">
        <v>97</v>
      </c>
      <c r="D30" s="57"/>
      <c r="E30" s="6"/>
      <c r="F30" s="101"/>
      <c r="G30" s="102"/>
      <c r="H30" s="103"/>
      <c r="I30" s="16"/>
    </row>
    <row r="31" spans="2:9" x14ac:dyDescent="0.25">
      <c r="B31" s="14"/>
      <c r="C31" s="20" t="s">
        <v>98</v>
      </c>
      <c r="D31" s="57"/>
      <c r="E31" s="6"/>
      <c r="F31" s="101"/>
      <c r="G31" s="102"/>
      <c r="H31" s="103"/>
      <c r="I31" s="16"/>
    </row>
    <row r="32" spans="2:9" x14ac:dyDescent="0.25">
      <c r="B32" s="14"/>
      <c r="C32" s="20" t="s">
        <v>99</v>
      </c>
      <c r="D32" s="57"/>
      <c r="E32" s="6"/>
      <c r="F32" s="101"/>
      <c r="G32" s="102"/>
      <c r="H32" s="103"/>
      <c r="I32" s="16"/>
    </row>
    <row r="33" spans="2:9" ht="15.75" thickBot="1" x14ac:dyDescent="0.3">
      <c r="B33" s="14"/>
      <c r="C33" s="15"/>
      <c r="E33" s="6"/>
      <c r="F33" s="104"/>
      <c r="G33" s="105"/>
      <c r="H33" s="106"/>
      <c r="I33" s="16"/>
    </row>
    <row r="34" spans="2:9" ht="15.75" thickBot="1" x14ac:dyDescent="0.3">
      <c r="B34" s="17"/>
      <c r="C34" s="18"/>
      <c r="D34" s="18"/>
      <c r="E34" s="18"/>
      <c r="F34" s="18"/>
      <c r="G34" s="18"/>
      <c r="H34" s="18"/>
      <c r="I34" s="19"/>
    </row>
  </sheetData>
  <sheetProtection algorithmName="SHA-512" hashValue="iDXW2Pe1kt+h4O6Y/BHSgRazJQPsSi5Cg52Szi1m3YiRMnLmFtb7+cAE3LbxRN3FVj+0YskWT7hAe4XSBkEUPg==" saltValue="MHHAfqXQO87AgWmdgmo8Jw==" spinCount="100000" sheet="1"/>
  <mergeCells count="4">
    <mergeCell ref="F27:H27"/>
    <mergeCell ref="F28:H33"/>
    <mergeCell ref="C6:H6"/>
    <mergeCell ref="F25:H25"/>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V23"/>
  <sheetViews>
    <sheetView showGridLines="0" topLeftCell="A2" workbookViewId="0">
      <selection activeCell="F17" sqref="F17:G22"/>
    </sheetView>
  </sheetViews>
  <sheetFormatPr baseColWidth="10"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0</v>
      </c>
    </row>
    <row r="3" spans="2:22" x14ac:dyDescent="0.25">
      <c r="B3" s="14"/>
      <c r="C3" s="15"/>
      <c r="D3" s="15"/>
      <c r="E3" s="15"/>
      <c r="F3" s="15"/>
      <c r="G3" s="15"/>
      <c r="H3" s="16"/>
      <c r="V3" s="28">
        <f>+IF(V2&lt;=20,V2,IF(ROUNDDOWN(V2*10%,0)&lt;20,20,ROUNDDOWN(V2*10%,0)))</f>
        <v>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10" t="s">
        <v>56</v>
      </c>
      <c r="D7" s="110"/>
      <c r="E7" s="110"/>
      <c r="F7" s="110"/>
      <c r="G7" s="110"/>
      <c r="H7" s="33"/>
    </row>
    <row r="8" spans="2:22" x14ac:dyDescent="0.25">
      <c r="B8" s="14"/>
      <c r="C8" s="15"/>
      <c r="D8" s="15"/>
      <c r="E8" s="15"/>
      <c r="H8" s="16"/>
      <c r="T8" s="1" t="s">
        <v>13</v>
      </c>
    </row>
    <row r="9" spans="2:22" ht="15" customHeight="1" x14ac:dyDescent="0.25">
      <c r="B9" s="14"/>
      <c r="C9" s="23" t="s">
        <v>135</v>
      </c>
      <c r="D9" s="23" t="s">
        <v>23</v>
      </c>
      <c r="E9" s="6"/>
      <c r="F9" s="94" t="str">
        <f>"Seleccione una muestra de "&amp;V3&amp;" prejudiciales activos registrados antes de 30 de junio de 2020 y complete la siguiente tabla"</f>
        <v>Seleccione una muestra de 0 prejudiciales activos registrados antes de 30 de junio de 2020 y complete la siguiente tabla</v>
      </c>
      <c r="G9" s="95"/>
      <c r="H9" s="16"/>
      <c r="T9" s="1" t="s">
        <v>14</v>
      </c>
    </row>
    <row r="10" spans="2:22" x14ac:dyDescent="0.25">
      <c r="B10" s="14"/>
      <c r="C10" s="20" t="s">
        <v>55</v>
      </c>
      <c r="D10" s="57">
        <v>0</v>
      </c>
      <c r="E10" s="6"/>
      <c r="F10" s="96"/>
      <c r="G10" s="97"/>
      <c r="H10" s="16"/>
    </row>
    <row r="11" spans="2:22" x14ac:dyDescent="0.25">
      <c r="B11" s="14"/>
      <c r="C11" s="20" t="s">
        <v>57</v>
      </c>
      <c r="D11" s="57">
        <v>0</v>
      </c>
      <c r="E11" s="6"/>
      <c r="F11" s="24" t="s">
        <v>33</v>
      </c>
      <c r="G11" s="24" t="s">
        <v>59</v>
      </c>
      <c r="H11" s="16"/>
    </row>
    <row r="12" spans="2:22" x14ac:dyDescent="0.25">
      <c r="B12" s="14"/>
      <c r="C12" s="20" t="s">
        <v>136</v>
      </c>
      <c r="D12" s="57">
        <v>0</v>
      </c>
      <c r="E12" s="6"/>
      <c r="F12" s="36" t="s">
        <v>60</v>
      </c>
      <c r="G12" s="62"/>
      <c r="H12" s="16"/>
    </row>
    <row r="13" spans="2:22" x14ac:dyDescent="0.25">
      <c r="B13" s="14"/>
      <c r="C13" s="20" t="s">
        <v>137</v>
      </c>
      <c r="D13" s="57">
        <v>0</v>
      </c>
      <c r="E13" s="6"/>
      <c r="F13" s="20" t="s">
        <v>61</v>
      </c>
      <c r="G13" s="57"/>
      <c r="H13" s="16"/>
    </row>
    <row r="14" spans="2:22" x14ac:dyDescent="0.25">
      <c r="B14" s="14"/>
      <c r="C14" s="20" t="s">
        <v>86</v>
      </c>
      <c r="D14" s="57">
        <v>0</v>
      </c>
      <c r="E14" s="6"/>
      <c r="F14"/>
      <c r="G14"/>
      <c r="H14" s="16"/>
    </row>
    <row r="15" spans="2:22" x14ac:dyDescent="0.25">
      <c r="B15" s="14"/>
      <c r="E15" s="6"/>
      <c r="F15"/>
      <c r="G15"/>
      <c r="H15" s="16"/>
    </row>
    <row r="16" spans="2:22" ht="15.75" thickBot="1" x14ac:dyDescent="0.3">
      <c r="B16" s="14"/>
      <c r="C16" s="23" t="s">
        <v>140</v>
      </c>
      <c r="D16" s="23" t="s">
        <v>23</v>
      </c>
      <c r="E16" s="6"/>
      <c r="F16" s="112" t="s">
        <v>102</v>
      </c>
      <c r="G16" s="112"/>
      <c r="H16" s="16"/>
    </row>
    <row r="17" spans="2:8" x14ac:dyDescent="0.25">
      <c r="B17" s="14"/>
      <c r="C17" s="20" t="s">
        <v>138</v>
      </c>
      <c r="D17" s="57">
        <v>4</v>
      </c>
      <c r="E17" s="6"/>
      <c r="F17" s="113" t="s">
        <v>161</v>
      </c>
      <c r="G17" s="114"/>
      <c r="H17" s="16"/>
    </row>
    <row r="18" spans="2:8" x14ac:dyDescent="0.25">
      <c r="B18" s="14"/>
      <c r="C18" s="20" t="s">
        <v>139</v>
      </c>
      <c r="D18" s="57">
        <v>3</v>
      </c>
      <c r="E18" s="6"/>
      <c r="F18" s="115"/>
      <c r="G18" s="116"/>
      <c r="H18" s="16"/>
    </row>
    <row r="19" spans="2:8" x14ac:dyDescent="0.25">
      <c r="B19" s="14"/>
      <c r="C19"/>
      <c r="D19"/>
      <c r="E19" s="6"/>
      <c r="F19" s="115"/>
      <c r="G19" s="116"/>
      <c r="H19" s="16"/>
    </row>
    <row r="20" spans="2:8" x14ac:dyDescent="0.25">
      <c r="B20" s="14"/>
      <c r="C20"/>
      <c r="D20"/>
      <c r="E20" s="6"/>
      <c r="F20" s="115"/>
      <c r="G20" s="116"/>
      <c r="H20" s="16"/>
    </row>
    <row r="21" spans="2:8" x14ac:dyDescent="0.25">
      <c r="B21" s="14"/>
      <c r="E21" s="6"/>
      <c r="F21" s="115"/>
      <c r="G21" s="116"/>
      <c r="H21" s="16"/>
    </row>
    <row r="22" spans="2:8" ht="15.75" thickBot="1" x14ac:dyDescent="0.3">
      <c r="B22" s="14"/>
      <c r="C22" s="15"/>
      <c r="D22" s="15"/>
      <c r="E22" s="6"/>
      <c r="F22" s="117"/>
      <c r="G22" s="118"/>
      <c r="H22" s="16"/>
    </row>
    <row r="23" spans="2:8" ht="15.75" thickBot="1" x14ac:dyDescent="0.3">
      <c r="B23" s="17"/>
      <c r="C23" s="18"/>
      <c r="D23" s="18"/>
      <c r="E23" s="18"/>
      <c r="F23" s="18"/>
      <c r="G23" s="18"/>
      <c r="H23" s="19"/>
    </row>
  </sheetData>
  <sheetProtection algorithmName="SHA-512" hashValue="8cM68jN9F5Zjd0sab5G14RklQBcoxtobUI5ZVSG26pRUmCYjBWApV4MNXpHXAZk46q11zOqXcEGp1/59yA2tmg==" saltValue="5l0sFDkLD8IXu11PRprXbw==" spinCount="100000" sheet="1"/>
  <mergeCells count="4">
    <mergeCell ref="F9:G10"/>
    <mergeCell ref="C7:G7"/>
    <mergeCell ref="F16:G16"/>
    <mergeCell ref="F17:G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V17"/>
  <sheetViews>
    <sheetView showGridLines="0" workbookViewId="0">
      <selection activeCell="F20" sqref="F20"/>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1</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76</v>
      </c>
      <c r="D6" s="35"/>
      <c r="E6" s="26"/>
      <c r="F6"/>
      <c r="G6"/>
      <c r="H6" s="33"/>
    </row>
    <row r="7" spans="2:22" x14ac:dyDescent="0.25">
      <c r="B7" s="14"/>
      <c r="C7" s="15"/>
      <c r="D7" s="15"/>
      <c r="E7" s="15"/>
      <c r="F7"/>
      <c r="G7"/>
      <c r="H7" s="16"/>
      <c r="T7" s="1" t="s">
        <v>13</v>
      </c>
    </row>
    <row r="8" spans="2:22" x14ac:dyDescent="0.25">
      <c r="B8" s="14"/>
      <c r="C8" s="23" t="s">
        <v>76</v>
      </c>
      <c r="D8" s="23" t="s">
        <v>23</v>
      </c>
      <c r="E8" s="6"/>
      <c r="F8" s="23" t="s">
        <v>76</v>
      </c>
      <c r="G8" s="23" t="s">
        <v>23</v>
      </c>
      <c r="H8" s="16"/>
      <c r="T8" s="1" t="s">
        <v>14</v>
      </c>
    </row>
    <row r="9" spans="2:22" x14ac:dyDescent="0.25">
      <c r="B9" s="14"/>
      <c r="C9" s="20" t="s">
        <v>141</v>
      </c>
      <c r="D9" s="57">
        <v>1</v>
      </c>
      <c r="E9" s="6"/>
      <c r="F9" s="20" t="s">
        <v>142</v>
      </c>
      <c r="G9" s="63">
        <v>0</v>
      </c>
      <c r="H9" s="16"/>
    </row>
    <row r="10" spans="2:22" x14ac:dyDescent="0.25">
      <c r="B10" s="14"/>
      <c r="C10" s="20" t="s">
        <v>78</v>
      </c>
      <c r="D10" s="57">
        <v>1</v>
      </c>
      <c r="E10" s="6"/>
      <c r="F10" s="20" t="s">
        <v>100</v>
      </c>
      <c r="G10" s="63">
        <v>0</v>
      </c>
      <c r="H10" s="16"/>
    </row>
    <row r="11" spans="2:22" x14ac:dyDescent="0.25">
      <c r="B11" s="14"/>
      <c r="C11" s="15"/>
      <c r="D11" s="61"/>
      <c r="E11" s="6"/>
      <c r="F11" s="15"/>
      <c r="G11" s="64"/>
      <c r="H11" s="16"/>
    </row>
    <row r="12" spans="2:22" ht="15.75" thickBot="1" x14ac:dyDescent="0.3">
      <c r="B12" s="14"/>
      <c r="C12" s="65" t="s">
        <v>104</v>
      </c>
      <c r="D12" s="61"/>
      <c r="E12" s="6"/>
      <c r="F12" s="15"/>
      <c r="G12" s="64"/>
      <c r="H12" s="16"/>
      <c r="T12" s="1">
        <f>IF(D9="",0,1)</f>
        <v>1</v>
      </c>
    </row>
    <row r="13" spans="2:22" x14ac:dyDescent="0.25">
      <c r="B13" s="14"/>
      <c r="C13" s="119" t="s">
        <v>162</v>
      </c>
      <c r="D13" s="120"/>
      <c r="E13" s="120"/>
      <c r="F13" s="120"/>
      <c r="G13" s="121"/>
      <c r="H13" s="16"/>
    </row>
    <row r="14" spans="2:22" x14ac:dyDescent="0.25">
      <c r="B14" s="14"/>
      <c r="C14" s="122"/>
      <c r="D14" s="123"/>
      <c r="E14" s="123"/>
      <c r="F14" s="123"/>
      <c r="G14" s="124"/>
      <c r="H14" s="16"/>
    </row>
    <row r="15" spans="2:22" x14ac:dyDescent="0.25">
      <c r="B15" s="14"/>
      <c r="C15" s="122"/>
      <c r="D15" s="123"/>
      <c r="E15" s="123"/>
      <c r="F15" s="123"/>
      <c r="G15" s="124"/>
      <c r="H15" s="16"/>
    </row>
    <row r="16" spans="2:22" ht="15.75" thickBot="1" x14ac:dyDescent="0.3">
      <c r="B16" s="14"/>
      <c r="C16" s="125"/>
      <c r="D16" s="126"/>
      <c r="E16" s="126"/>
      <c r="F16" s="126"/>
      <c r="G16" s="127"/>
      <c r="H16" s="16"/>
      <c r="T16" s="1">
        <f>IF(G9="",0,1)</f>
        <v>1</v>
      </c>
    </row>
    <row r="17" spans="2:20" ht="15.75" thickBot="1" x14ac:dyDescent="0.3">
      <c r="B17" s="17"/>
      <c r="C17" s="18"/>
      <c r="D17" s="18"/>
      <c r="E17" s="18"/>
      <c r="F17" s="18"/>
      <c r="G17" s="18"/>
      <c r="H17" s="19"/>
      <c r="T17" s="1">
        <f>+T12+T16</f>
        <v>2</v>
      </c>
    </row>
  </sheetData>
  <sheetProtection algorithmName="SHA-512" hashValue="ijilseSxbScgMYPfBbwdT/B9xl1cPmNEOaGwZw/1g5lXqMh8IrOPLGFNEvAyl/utPcoBWeePsuEmufmQmbcKBQ==" saltValue="LWefHhNjw86qf8r+FXt0bQ==" spinCount="100000" sheet="1"/>
  <mergeCells count="1">
    <mergeCell ref="C13:G1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V11"/>
  <sheetViews>
    <sheetView showGridLines="0" workbookViewId="0">
      <selection activeCell="F8" sqref="F8:G10"/>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10" t="s">
        <v>8</v>
      </c>
      <c r="D6" s="110"/>
      <c r="E6" s="26"/>
      <c r="F6"/>
      <c r="G6"/>
      <c r="H6" s="33"/>
      <c r="T6" s="1" t="s">
        <v>12</v>
      </c>
    </row>
    <row r="7" spans="2:22" ht="15.75" thickBot="1" x14ac:dyDescent="0.3">
      <c r="B7" s="14"/>
      <c r="C7" s="15"/>
      <c r="D7" s="15"/>
      <c r="E7" s="15"/>
      <c r="F7" s="66" t="s">
        <v>104</v>
      </c>
      <c r="G7"/>
      <c r="H7" s="16"/>
      <c r="T7" s="1" t="s">
        <v>13</v>
      </c>
    </row>
    <row r="8" spans="2:22" x14ac:dyDescent="0.25">
      <c r="B8" s="14"/>
      <c r="C8" s="23" t="s">
        <v>32</v>
      </c>
      <c r="D8" s="23" t="s">
        <v>23</v>
      </c>
      <c r="E8" s="6"/>
      <c r="F8" s="98" t="s">
        <v>163</v>
      </c>
      <c r="G8" s="100"/>
      <c r="H8" s="16"/>
      <c r="T8" s="1" t="s">
        <v>14</v>
      </c>
    </row>
    <row r="9" spans="2:22" x14ac:dyDescent="0.25">
      <c r="B9" s="14"/>
      <c r="C9" s="20" t="s">
        <v>80</v>
      </c>
      <c r="D9" s="57" t="s">
        <v>13</v>
      </c>
      <c r="E9" s="6"/>
      <c r="F9" s="101"/>
      <c r="G9" s="103"/>
      <c r="H9" s="16"/>
    </row>
    <row r="10" spans="2:22" ht="15.75" thickBot="1" x14ac:dyDescent="0.3">
      <c r="B10" s="14"/>
      <c r="C10" s="20" t="s">
        <v>143</v>
      </c>
      <c r="D10" s="57"/>
      <c r="E10" s="6"/>
      <c r="F10" s="104"/>
      <c r="G10" s="106"/>
      <c r="H10" s="16"/>
    </row>
    <row r="11" spans="2:22" ht="15.75" thickBot="1" x14ac:dyDescent="0.3">
      <c r="B11" s="17"/>
      <c r="C11" s="18"/>
      <c r="D11" s="18"/>
      <c r="E11" s="18"/>
      <c r="F11" s="18"/>
      <c r="G11" s="18"/>
      <c r="H11" s="19"/>
    </row>
  </sheetData>
  <sheetProtection algorithmName="SHA-512" hashValue="L9TzTy7Xcbu6uZUublFRMTn5WebnIKr2X/GWSznNVSVOYhXXZG52n9W2fY3eyyb8DLFzboT/mW175RmbKqaaow==" saltValue="P1vmzjqaB0jy8n+nktEqKw==" spinCount="100000" sheet="1"/>
  <mergeCells count="2">
    <mergeCell ref="C6:D6"/>
    <mergeCell ref="F8:G10"/>
  </mergeCells>
  <dataValidations count="1">
    <dataValidation type="list" allowBlank="1" showInputMessage="1" showErrorMessage="1" sqref="D9" xr:uid="{00000000-0002-0000-0700-000000000000}">
      <formula1>$T$6:$T$7</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26"/>
  <sheetViews>
    <sheetView showGridLines="0" topLeftCell="A5" workbookViewId="0">
      <selection activeCell="F11" sqref="F11"/>
    </sheetView>
  </sheetViews>
  <sheetFormatPr baseColWidth="10" defaultRowHeight="15" x14ac:dyDescent="0.25"/>
  <cols>
    <col min="2" max="2" width="33" bestFit="1" customWidth="1"/>
    <col min="3" max="3" width="14.5703125" bestFit="1" customWidth="1"/>
    <col min="5" max="5" width="33" bestFit="1" customWidth="1"/>
    <col min="6" max="6" width="14.5703125" bestFit="1" customWidth="1"/>
  </cols>
  <sheetData>
    <row r="2" spans="2:13" ht="18.75" x14ac:dyDescent="0.3">
      <c r="B2" s="129" t="s">
        <v>10</v>
      </c>
      <c r="C2" s="129"/>
      <c r="D2" s="129"/>
      <c r="E2" s="129"/>
      <c r="F2" s="129"/>
      <c r="G2" s="129"/>
      <c r="H2" s="47"/>
      <c r="I2" s="47"/>
      <c r="J2" s="47"/>
      <c r="K2" s="47"/>
      <c r="L2" s="47"/>
      <c r="M2" s="48"/>
    </row>
    <row r="3" spans="2:13" ht="18.75" x14ac:dyDescent="0.3">
      <c r="B3" s="129" t="s">
        <v>11</v>
      </c>
      <c r="C3" s="129"/>
      <c r="D3" s="129"/>
      <c r="E3" s="129"/>
      <c r="F3" s="129"/>
      <c r="G3" s="129"/>
      <c r="H3" s="47"/>
      <c r="I3" s="47"/>
      <c r="J3" s="47"/>
      <c r="K3" s="47"/>
      <c r="L3" s="47"/>
      <c r="M3" s="48"/>
    </row>
    <row r="4" spans="2:13" ht="23.25" x14ac:dyDescent="0.35">
      <c r="B4" s="41"/>
      <c r="C4" s="41"/>
      <c r="D4" s="41"/>
      <c r="E4" s="41"/>
      <c r="F4" s="41"/>
      <c r="G4" s="41"/>
      <c r="H4" s="41"/>
      <c r="I4" s="41"/>
      <c r="J4" s="41"/>
      <c r="K4" s="41"/>
      <c r="L4" s="41"/>
      <c r="M4" s="41"/>
    </row>
    <row r="5" spans="2:13" x14ac:dyDescent="0.25">
      <c r="B5" t="s">
        <v>38</v>
      </c>
      <c r="C5" s="128" t="s">
        <v>159</v>
      </c>
      <c r="D5" s="128"/>
      <c r="E5" s="128"/>
      <c r="F5" s="128"/>
      <c r="G5" s="128"/>
      <c r="H5" s="6"/>
      <c r="I5" s="6"/>
      <c r="J5" s="6"/>
    </row>
    <row r="6" spans="2:13" x14ac:dyDescent="0.25">
      <c r="B6" t="s">
        <v>3</v>
      </c>
      <c r="C6" s="128" t="s">
        <v>155</v>
      </c>
      <c r="D6" s="128"/>
      <c r="E6" s="128"/>
      <c r="F6" s="128"/>
      <c r="G6" s="128"/>
      <c r="H6" s="46"/>
      <c r="I6" s="46"/>
      <c r="J6" s="46"/>
    </row>
    <row r="7" spans="2:13" x14ac:dyDescent="0.25">
      <c r="H7" s="6"/>
      <c r="I7" s="6"/>
      <c r="J7" s="6"/>
    </row>
    <row r="8" spans="2:13" x14ac:dyDescent="0.25">
      <c r="B8" t="s">
        <v>39</v>
      </c>
      <c r="C8" s="44" t="str">
        <f>+IF(SUM(USUARIOS!I12:J17)=0,"Falta diligenciar","")</f>
        <v/>
      </c>
      <c r="E8" t="s">
        <v>84</v>
      </c>
      <c r="F8" s="44" t="str">
        <f>+IF(PREJUDICIALES!$D$10="","Falta  actualizar","")</f>
        <v/>
      </c>
    </row>
    <row r="9" spans="2:13" x14ac:dyDescent="0.25">
      <c r="B9" s="43" t="s">
        <v>42</v>
      </c>
      <c r="C9" s="45">
        <f>+SUM(USUARIOS!I12:I17)/(6-SUM(USUARIOS!H12:H17))</f>
        <v>0.66666666666666663</v>
      </c>
      <c r="E9" s="43" t="s">
        <v>47</v>
      </c>
      <c r="F9" s="43">
        <f>+PREJUDICIALES!$D$11</f>
        <v>0</v>
      </c>
    </row>
    <row r="10" spans="2:13" x14ac:dyDescent="0.25">
      <c r="B10" s="43" t="s">
        <v>40</v>
      </c>
      <c r="C10" s="43">
        <f>+ABOGADOS!$D$12+SUM(USUARIOS!I12:I17)</f>
        <v>16</v>
      </c>
      <c r="E10" s="43" t="s">
        <v>45</v>
      </c>
      <c r="F10" s="45" t="str">
        <f>IFERROR(PREJUDICIALES!$D$11/PREJUDICIALES!$D$10,"")</f>
        <v/>
      </c>
    </row>
    <row r="11" spans="2:13" x14ac:dyDescent="0.25">
      <c r="B11" s="43" t="s">
        <v>9</v>
      </c>
      <c r="C11" s="71" t="s">
        <v>118</v>
      </c>
      <c r="E11" s="43" t="s">
        <v>48</v>
      </c>
      <c r="F11" s="45" t="str">
        <f>IFERROR(PREJUDICIALES!$G$13/PREJUDICIALES!$V$3,"")</f>
        <v/>
      </c>
    </row>
    <row r="12" spans="2:13" x14ac:dyDescent="0.25">
      <c r="B12" s="43" t="s">
        <v>41</v>
      </c>
      <c r="C12" s="45">
        <f>IFERROR((ABOGADOS!$G$17+ABOGADOS!$G$18+ABOGADOS!$G$19*0.5)/ABOGADOS!D12,"")</f>
        <v>1</v>
      </c>
    </row>
    <row r="13" spans="2:13" x14ac:dyDescent="0.25">
      <c r="E13" t="s">
        <v>76</v>
      </c>
      <c r="F13" s="44" t="str">
        <f>+IF(ARBITRAMENTOS!T17=0,"Falta  actualizar","")</f>
        <v/>
      </c>
    </row>
    <row r="14" spans="2:13" x14ac:dyDescent="0.25">
      <c r="B14" t="s">
        <v>83</v>
      </c>
      <c r="C14" s="44" t="str">
        <f>+IF(JUDICIALES!$D$11="","Falta  actualizar","")</f>
        <v/>
      </c>
      <c r="E14" s="43" t="s">
        <v>46</v>
      </c>
      <c r="F14" s="43">
        <f>+ARBITRAMENTOS!D10</f>
        <v>1</v>
      </c>
    </row>
    <row r="15" spans="2:13" x14ac:dyDescent="0.25">
      <c r="B15" s="43" t="s">
        <v>43</v>
      </c>
      <c r="C15" s="43">
        <f>+JUDICIALES!$D$12</f>
        <v>67</v>
      </c>
      <c r="E15" s="43" t="s">
        <v>45</v>
      </c>
      <c r="F15" s="45">
        <f>IFERROR(ARBITRAMENTOS!D10/ARBITRAMENTOS!D9,"")</f>
        <v>1</v>
      </c>
    </row>
    <row r="16" spans="2:13" x14ac:dyDescent="0.25">
      <c r="B16" s="43" t="s">
        <v>45</v>
      </c>
      <c r="C16" s="45">
        <f>IFERROR(JUDICIALES!$D$12/JUDICIALES!$D$11,"")</f>
        <v>1</v>
      </c>
    </row>
    <row r="17" spans="2:6" x14ac:dyDescent="0.25">
      <c r="B17" s="43" t="s">
        <v>51</v>
      </c>
      <c r="C17" s="45" t="str">
        <f>IFERROR(JUDICIALES!$G$11/JUDICIALES!$G$10,"")</f>
        <v/>
      </c>
      <c r="E17" t="s">
        <v>79</v>
      </c>
      <c r="F17" s="44" t="str">
        <f>+IF(PAGOS!D9="","Falta  actualizar","")</f>
        <v/>
      </c>
    </row>
    <row r="18" spans="2:6" x14ac:dyDescent="0.25">
      <c r="B18" s="43" t="s">
        <v>44</v>
      </c>
      <c r="C18" s="43">
        <f>IFERROR(C15/ABOGADOS!$D$12,"")</f>
        <v>5.583333333333333</v>
      </c>
      <c r="E18" s="43" t="s">
        <v>49</v>
      </c>
      <c r="F18" s="43">
        <f>+PAGOS!D10</f>
        <v>0</v>
      </c>
    </row>
    <row r="19" spans="2:6" x14ac:dyDescent="0.25">
      <c r="B19" s="43" t="s">
        <v>82</v>
      </c>
      <c r="C19" s="45">
        <f>IFERROR(1-(JUDICIALES!$H$22+JUDICIALES!$H$23+JUDICIALES!$H$24)/(JUDICIALES!$G$22+JUDICIALES!$G$23+JUDICIALES!$G$24),"")</f>
        <v>4.3478260869565188E-2</v>
      </c>
      <c r="E19" s="43" t="s">
        <v>50</v>
      </c>
      <c r="F19" s="43" t="str">
        <f>+IF(PAGOS!D9="No","No aplica","si")</f>
        <v>No aplica</v>
      </c>
    </row>
    <row r="21" spans="2:6" ht="15.75" thickBot="1" x14ac:dyDescent="0.3"/>
    <row r="22" spans="2:6" x14ac:dyDescent="0.25">
      <c r="B22" s="2" t="s">
        <v>104</v>
      </c>
      <c r="C22" s="3"/>
      <c r="D22" s="3"/>
      <c r="E22" s="3"/>
      <c r="F22" s="4"/>
    </row>
    <row r="23" spans="2:6" x14ac:dyDescent="0.25">
      <c r="B23" s="115"/>
      <c r="C23" s="130"/>
      <c r="D23" s="130"/>
      <c r="E23" s="130"/>
      <c r="F23" s="116"/>
    </row>
    <row r="24" spans="2:6" x14ac:dyDescent="0.25">
      <c r="B24" s="115"/>
      <c r="C24" s="130"/>
      <c r="D24" s="130"/>
      <c r="E24" s="130"/>
      <c r="F24" s="116"/>
    </row>
    <row r="25" spans="2:6" x14ac:dyDescent="0.25">
      <c r="B25" s="115"/>
      <c r="C25" s="130"/>
      <c r="D25" s="130"/>
      <c r="E25" s="130"/>
      <c r="F25" s="116"/>
    </row>
    <row r="26" spans="2:6" ht="15.75" thickBot="1" x14ac:dyDescent="0.3">
      <c r="B26" s="117"/>
      <c r="C26" s="131"/>
      <c r="D26" s="131"/>
      <c r="E26" s="131"/>
      <c r="F26" s="118"/>
    </row>
  </sheetData>
  <sheetProtection algorithmName="SHA-512" hashValue="oYy6+FMrDUJp7yajB2nFk6zfxjg7nx9wrBVSyVVHj9e4qRP7KnZOskU3IcSz5XU/0snkC3FPmsPSt6fMl/xLfw==" saltValue="JHNAqtUJ7WP4OFUpc0qITQ==" spinCount="100000" sheet="1" objects="1" scenarios="1"/>
  <mergeCells count="5">
    <mergeCell ref="C5:G5"/>
    <mergeCell ref="C6:G6"/>
    <mergeCell ref="B2:G2"/>
    <mergeCell ref="B3:G3"/>
    <mergeCell ref="B23:F2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_Flow_SignoffStatus xmlns="47cb3e12-45b3-4531-b84f-87359d4b7239" xsi:nil="true"/>
  </documentManagement>
</p:properties>
</file>

<file path=customXml/itemProps1.xml><?xml version="1.0" encoding="utf-8"?>
<ds:datastoreItem xmlns:ds="http://schemas.openxmlformats.org/officeDocument/2006/customXml" ds:itemID="{81BBFD39-9227-46BB-B6E7-EA9566D3510D}">
  <ds:schemaRefs>
    <ds:schemaRef ds:uri="http://schemas.microsoft.com/sharepoint/v3/contenttype/forms"/>
  </ds:schemaRefs>
</ds:datastoreItem>
</file>

<file path=customXml/itemProps2.xml><?xml version="1.0" encoding="utf-8"?>
<ds:datastoreItem xmlns:ds="http://schemas.openxmlformats.org/officeDocument/2006/customXml" ds:itemID="{60FFC8E4-F82E-474E-BCB3-78CCA1CDF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0D05F-795A-4E97-8BDE-DA0CCADD82EA}">
  <ds:schemaRefs>
    <ds:schemaRef ds:uri="http://purl.org/dc/dcmitype/"/>
    <ds:schemaRef ds:uri="a16ba950-d015-4cbc-806e-9cba0f1b5528"/>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47cb3e12-45b3-4531-b84f-87359d4b7239"/>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Base a pegar</vt:lpstr>
      <vt:lpstr>ABOGADOS</vt:lpstr>
      <vt:lpstr>JUDICIALES</vt:lpstr>
      <vt:lpstr>PREJUDICIALES</vt:lpstr>
      <vt:lpstr>ARBITRAMENTOS</vt:lpstr>
      <vt:lpstr>PAGOS</vt:lpstr>
      <vt:lpstr>Resumen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Andrea Luengas Pachon</cp:lastModifiedBy>
  <dcterms:created xsi:type="dcterms:W3CDTF">2020-06-25T21:16:25Z</dcterms:created>
  <dcterms:modified xsi:type="dcterms:W3CDTF">2021-12-15T05:41:11Z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